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固定资产-构筑物及其他辅助设施" sheetId="2" r:id="rId1"/>
    <sheet name="计算表" sheetId="1" state="hidden" r:id="rId2"/>
    <sheet name="Sheet3" sheetId="3" state="hidden" r:id="rId3"/>
  </sheets>
  <definedNames>
    <definedName name="_xlnm.Print_Area" localSheetId="0">'固定资产-构筑物及其他辅助设施'!$A$1:$M$17</definedName>
  </definedNames>
  <calcPr calcId="144525"/>
</workbook>
</file>

<file path=xl/sharedStrings.xml><?xml version="1.0" encoding="utf-8"?>
<sst xmlns="http://schemas.openxmlformats.org/spreadsheetml/2006/main" count="206" uniqueCount="137">
  <si>
    <t>拍品清单</t>
  </si>
  <si>
    <t>序号</t>
  </si>
  <si>
    <t>固资编号</t>
  </si>
  <si>
    <t>名称</t>
  </si>
  <si>
    <t>座落位置</t>
  </si>
  <si>
    <t>规格型号</t>
  </si>
  <si>
    <t>生产日期</t>
  </si>
  <si>
    <t>单件重量（KG)</t>
  </si>
  <si>
    <t>材质</t>
  </si>
  <si>
    <t>单位</t>
  </si>
  <si>
    <t>申报数量</t>
  </si>
  <si>
    <t>清点数量</t>
  </si>
  <si>
    <t>评估值</t>
  </si>
  <si>
    <t>备注</t>
  </si>
  <si>
    <t>合     计</t>
  </si>
  <si>
    <t>编织袋（白）</t>
  </si>
  <si>
    <t>霸州市太平道59号</t>
  </si>
  <si>
    <t>每包3个</t>
  </si>
  <si>
    <t>塑料</t>
  </si>
  <si>
    <t>个</t>
  </si>
  <si>
    <t>马鞍型编织袋（黑）</t>
  </si>
  <si>
    <t>霸州市太平道60号</t>
  </si>
  <si>
    <t>编织袋（绿）</t>
  </si>
  <si>
    <t>霸州市太平道61号</t>
  </si>
  <si>
    <t>万华MDI</t>
  </si>
  <si>
    <t>霸州市太平道62号</t>
  </si>
  <si>
    <t>3T3685M</t>
  </si>
  <si>
    <t>桶</t>
  </si>
  <si>
    <t>万华TDI</t>
  </si>
  <si>
    <t>霸州市太平道63号</t>
  </si>
  <si>
    <t>3T3236</t>
  </si>
  <si>
    <t>3143</t>
  </si>
  <si>
    <t>霸州市太平道64号</t>
  </si>
  <si>
    <t>hc-5280A</t>
  </si>
  <si>
    <t>海绵球（大）</t>
  </si>
  <si>
    <t>霸州市太平道65号</t>
  </si>
  <si>
    <t>高62cm，直径45cm</t>
  </si>
  <si>
    <t>海绵</t>
  </si>
  <si>
    <t>海绵球（小）</t>
  </si>
  <si>
    <t>霸州市太平道66号</t>
  </si>
  <si>
    <t>高25cm，直径15cm</t>
  </si>
  <si>
    <t>全涂球</t>
  </si>
  <si>
    <t>霸州市太平道67号</t>
  </si>
  <si>
    <t>为大小不一致的非标样品</t>
  </si>
  <si>
    <t>喷漆设备</t>
  </si>
  <si>
    <t>霸州市太平道68号</t>
  </si>
  <si>
    <t>金属</t>
  </si>
  <si>
    <t>台</t>
  </si>
  <si>
    <t>焊机</t>
  </si>
  <si>
    <t>霸州市太平道69号</t>
  </si>
  <si>
    <t>ZX7-400</t>
  </si>
  <si>
    <t>单人折叠床</t>
  </si>
  <si>
    <t>霸州市太平道70号</t>
  </si>
  <si>
    <t>75cm*200cm</t>
  </si>
  <si>
    <t>金属、布</t>
  </si>
  <si>
    <t>电脑</t>
  </si>
  <si>
    <t>霸州市太平道71号</t>
  </si>
  <si>
    <t>16寸显示器，组装主机</t>
  </si>
  <si>
    <t>2012/3</t>
  </si>
  <si>
    <t>金属、塑料</t>
  </si>
  <si>
    <t>24围墙</t>
  </si>
  <si>
    <t>36米，高2.5米</t>
  </si>
  <si>
    <t>长50*2，宽11.7*2，高2米</t>
  </si>
  <si>
    <t>砖木房残值率计算</t>
  </si>
  <si>
    <t>面积</t>
  </si>
  <si>
    <t>高度</t>
  </si>
  <si>
    <t>砌体</t>
  </si>
  <si>
    <t>正房</t>
  </si>
  <si>
    <t>五间正房</t>
  </si>
  <si>
    <t>用木材方数</t>
  </si>
  <si>
    <t>立方米</t>
  </si>
  <si>
    <t>东西厢房</t>
  </si>
  <si>
    <t>檩条直径按25cm</t>
  </si>
  <si>
    <t>木材密度0.5吨每立方米</t>
  </si>
  <si>
    <t>合计</t>
  </si>
  <si>
    <t>出砖率</t>
  </si>
  <si>
    <t>二手砖价</t>
  </si>
  <si>
    <t>木材回收价</t>
  </si>
  <si>
    <t>150一吨</t>
  </si>
  <si>
    <t>木材量</t>
  </si>
  <si>
    <t>方</t>
  </si>
  <si>
    <t>松木密度</t>
  </si>
  <si>
    <t>木材质量</t>
  </si>
  <si>
    <t>吨</t>
  </si>
  <si>
    <t>重置成本</t>
  </si>
  <si>
    <t>残值率</t>
  </si>
  <si>
    <t>人工成本</t>
  </si>
  <si>
    <t>人数</t>
  </si>
  <si>
    <t>工作量(m2)</t>
  </si>
  <si>
    <t>单价</t>
  </si>
  <si>
    <t>每平单价</t>
  </si>
  <si>
    <t>机械成本</t>
  </si>
  <si>
    <t>正房用砖量</t>
  </si>
  <si>
    <t>平方米</t>
  </si>
  <si>
    <t>数量</t>
  </si>
  <si>
    <t>外墙37</t>
  </si>
  <si>
    <t>山墙最高5.5米，檐高4米，高度差1.5米</t>
  </si>
  <si>
    <t>2道内墙24</t>
  </si>
  <si>
    <t>基础</t>
  </si>
  <si>
    <t>引用嘉德</t>
  </si>
  <si>
    <t>建筑面积</t>
  </si>
  <si>
    <t>厢房用砖量</t>
  </si>
  <si>
    <t>长</t>
  </si>
  <si>
    <t>三间</t>
  </si>
  <si>
    <t>宽</t>
  </si>
  <si>
    <t>1道内墙24</t>
  </si>
  <si>
    <t>高3米</t>
  </si>
  <si>
    <t>用砖量</t>
  </si>
  <si>
    <t>砖基础37变24，地下40公分，长度7+7+4+4+4=26米，用砖量1994块</t>
  </si>
  <si>
    <t>围墙用砖量</t>
  </si>
  <si>
    <t>规格</t>
  </si>
  <si>
    <t>数量/立方米</t>
  </si>
  <si>
    <t>长36，高2.5</t>
  </si>
  <si>
    <t>长50，宽11.7</t>
  </si>
  <si>
    <t>高</t>
  </si>
  <si>
    <t>结构</t>
  </si>
  <si>
    <t>砖结构</t>
  </si>
  <si>
    <t>围墙1</t>
  </si>
  <si>
    <t>简易房1</t>
  </si>
  <si>
    <t>围墙2</t>
  </si>
  <si>
    <t>简易房2</t>
  </si>
  <si>
    <t>二手回收红砖单价</t>
  </si>
  <si>
    <t>二手双层保温板顶单价</t>
  </si>
  <si>
    <t>二手回收单层彩钢板顶</t>
  </si>
  <si>
    <t>红砖用量</t>
  </si>
  <si>
    <t>双层保温板顶</t>
  </si>
  <si>
    <t>单层彩钢板顶</t>
  </si>
  <si>
    <t>简易棚1</t>
  </si>
  <si>
    <t>彩钢结构</t>
  </si>
  <si>
    <t>简易棚2</t>
  </si>
  <si>
    <t>拆除费用</t>
  </si>
  <si>
    <t>人工</t>
  </si>
  <si>
    <t>天数</t>
  </si>
  <si>
    <t>机械</t>
  </si>
  <si>
    <t>台班</t>
  </si>
  <si>
    <t>推</t>
  </si>
  <si>
    <t>挖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</si>
</sst>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#,##0.0000_ "/>
    <numFmt numFmtId="178" formatCode="#,##0.00_ "/>
    <numFmt numFmtId="179" formatCode="0.00_ "/>
    <numFmt numFmtId="180" formatCode="#,##0_ "/>
    <numFmt numFmtId="181" formatCode="_(* #,##0.00_);_(* \(#,##0.00\);_(* &quot;-&quot;??_);_(@_)"/>
  </numFmts>
  <fonts count="30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u/>
      <sz val="22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theme="1"/>
      <name val="Tahoma"/>
      <charset val="134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19" borderId="12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/>
    <xf numFmtId="0" fontId="1" fillId="2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9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77" fontId="0" fillId="0" borderId="1" xfId="0" applyNumberFormat="1" applyBorder="1" applyAlignment="1">
      <alignment vertical="center"/>
    </xf>
    <xf numFmtId="176" fontId="0" fillId="0" borderId="1" xfId="11" applyNumberFormat="1" applyFont="1" applyBorder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177" fontId="0" fillId="0" borderId="0" xfId="0" applyNumberFormat="1" applyAlignment="1">
      <alignment vertical="center"/>
    </xf>
    <xf numFmtId="9" fontId="2" fillId="0" borderId="0" xfId="0" applyNumberFormat="1" applyFont="1" applyAlignment="1">
      <alignment vertical="center"/>
    </xf>
    <xf numFmtId="9" fontId="0" fillId="0" borderId="0" xfId="0" applyNumberFormat="1" applyAlignment="1">
      <alignment vertical="center"/>
    </xf>
    <xf numFmtId="0" fontId="0" fillId="0" borderId="2" xfId="0" applyBorder="1" applyAlignment="1">
      <alignment vertical="center"/>
    </xf>
    <xf numFmtId="178" fontId="0" fillId="0" borderId="1" xfId="0" applyNumberFormat="1" applyBorder="1" applyAlignment="1">
      <alignment vertical="center"/>
    </xf>
    <xf numFmtId="180" fontId="0" fillId="0" borderId="1" xfId="0" applyNumberFormat="1" applyBorder="1" applyAlignment="1">
      <alignment vertical="center"/>
    </xf>
    <xf numFmtId="43" fontId="0" fillId="0" borderId="0" xfId="8" applyFont="1">
      <alignment vertical="center"/>
    </xf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" fontId="3" fillId="0" borderId="0" xfId="0" applyNumberFormat="1" applyFont="1" applyAlignment="1" applyProtection="1">
      <alignment horizontal="center" vertical="center"/>
      <protection locked="0"/>
    </xf>
    <xf numFmtId="3" fontId="3" fillId="0" borderId="0" xfId="0" applyNumberFormat="1" applyFont="1" applyAlignment="1" applyProtection="1">
      <alignment horizontal="center" vertical="center"/>
      <protection locked="0"/>
    </xf>
    <xf numFmtId="180" fontId="3" fillId="0" borderId="0" xfId="0" applyNumberFormat="1" applyFont="1" applyAlignment="1" applyProtection="1">
      <alignment horizontal="center" vertical="center"/>
      <protection locked="0"/>
    </xf>
    <xf numFmtId="2" fontId="3" fillId="0" borderId="0" xfId="0" applyNumberFormat="1" applyFont="1" applyAlignment="1">
      <alignment horizontal="center" vertical="center"/>
    </xf>
    <xf numFmtId="0" fontId="5" fillId="0" borderId="0" xfId="10" applyFont="1" applyFill="1" applyAlignment="1" applyProtection="1">
      <alignment horizontal="center" vertical="center"/>
    </xf>
    <xf numFmtId="0" fontId="6" fillId="0" borderId="0" xfId="10" applyFont="1" applyFill="1" applyAlignment="1" applyProtection="1">
      <alignment horizontal="center" vertical="center"/>
    </xf>
    <xf numFmtId="4" fontId="6" fillId="0" borderId="0" xfId="10" applyNumberFormat="1" applyFont="1" applyFill="1" applyBorder="1" applyAlignment="1" applyProtection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1" xfId="47" applyFont="1" applyBorder="1" applyAlignment="1">
      <alignment horizontal="center" vertical="center"/>
    </xf>
    <xf numFmtId="49" fontId="7" fillId="0" borderId="1" xfId="47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47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3" fontId="6" fillId="0" borderId="0" xfId="1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180" fontId="3" fillId="0" borderId="3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4" fontId="3" fillId="0" borderId="0" xfId="0" applyNumberFormat="1" applyFont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center" vertical="center"/>
    </xf>
    <xf numFmtId="181" fontId="4" fillId="0" borderId="0" xfId="8" applyNumberFormat="1" applyFont="1" applyFill="1" applyAlignment="1" applyProtection="1">
      <alignment horizontal="center" vertical="center" wrapText="1"/>
    </xf>
    <xf numFmtId="3" fontId="7" fillId="0" borderId="1" xfId="47" applyNumberFormat="1" applyFont="1" applyBorder="1" applyAlignment="1">
      <alignment horizontal="center" vertical="center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4" fontId="3" fillId="0" borderId="1" xfId="0" applyNumberFormat="1" applyFont="1" applyBorder="1" applyAlignment="1">
      <alignment horizontal="center" vertical="center" wrapText="1"/>
    </xf>
    <xf numFmtId="178" fontId="3" fillId="0" borderId="0" xfId="0" applyNumberFormat="1" applyFont="1" applyAlignment="1" applyProtection="1">
      <alignment horizontal="center" vertical="center"/>
      <protection locked="0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1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Normal 4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868680</xdr:colOff>
      <xdr:row>76</xdr:row>
      <xdr:rowOff>167640</xdr:rowOff>
    </xdr:from>
    <xdr:to>
      <xdr:col>17</xdr:col>
      <xdr:colOff>566545</xdr:colOff>
      <xdr:row>104</xdr:row>
      <xdr:rowOff>48209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36130" y="8311515"/>
          <a:ext cx="7174865" cy="4947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tabSelected="1" workbookViewId="0">
      <selection activeCell="P5" sqref="P5"/>
    </sheetView>
  </sheetViews>
  <sheetFormatPr defaultColWidth="9" defaultRowHeight="12"/>
  <cols>
    <col min="1" max="1" width="10" style="37" customWidth="1"/>
    <col min="2" max="2" width="11.25" style="37" hidden="1" customWidth="1"/>
    <col min="3" max="5" width="16.875" style="37" customWidth="1"/>
    <col min="6" max="6" width="16.875" style="37" hidden="1" customWidth="1"/>
    <col min="7" max="7" width="16.875" style="38" hidden="1" customWidth="1"/>
    <col min="8" max="8" width="16.875" style="37" hidden="1" customWidth="1"/>
    <col min="9" max="9" width="16.875" style="37" customWidth="1"/>
    <col min="10" max="10" width="11.5" style="37" customWidth="1"/>
    <col min="11" max="11" width="11" style="39" customWidth="1"/>
    <col min="12" max="12" width="15.375" style="40" customWidth="1"/>
    <col min="13" max="13" width="15.25" style="41" customWidth="1"/>
    <col min="14" max="14" width="11.75" style="37" customWidth="1"/>
    <col min="15" max="16" width="9.5" style="37" customWidth="1"/>
    <col min="17" max="17" width="10.5" style="37" customWidth="1"/>
    <col min="18" max="18" width="12.125" style="37" customWidth="1"/>
    <col min="19" max="19" width="7.75" style="37" customWidth="1"/>
    <col min="20" max="20" width="7" style="37" customWidth="1"/>
    <col min="21" max="16384" width="9" style="37"/>
  </cols>
  <sheetData>
    <row r="1" s="34" customFormat="1" ht="48" customHeight="1" spans="1:13">
      <c r="A1" s="42" t="s">
        <v>0</v>
      </c>
      <c r="B1" s="43"/>
      <c r="C1" s="43"/>
      <c r="D1" s="44"/>
      <c r="E1" s="44"/>
      <c r="F1" s="44"/>
      <c r="G1" s="44"/>
      <c r="H1" s="44"/>
      <c r="I1" s="44"/>
      <c r="J1" s="44"/>
      <c r="K1" s="60"/>
      <c r="L1" s="43"/>
      <c r="M1" s="43"/>
    </row>
    <row r="2" s="35" customFormat="1" ht="18.75" customHeight="1" spans="1:13">
      <c r="A2" s="45" t="s">
        <v>1</v>
      </c>
      <c r="B2" s="45" t="s">
        <v>2</v>
      </c>
      <c r="C2" s="45" t="s">
        <v>3</v>
      </c>
      <c r="D2" s="45" t="s">
        <v>4</v>
      </c>
      <c r="E2" s="46" t="s">
        <v>5</v>
      </c>
      <c r="F2" s="46" t="s">
        <v>6</v>
      </c>
      <c r="G2" s="47" t="s">
        <v>7</v>
      </c>
      <c r="H2" s="45" t="s">
        <v>8</v>
      </c>
      <c r="I2" s="46" t="s">
        <v>9</v>
      </c>
      <c r="J2" s="46" t="s">
        <v>10</v>
      </c>
      <c r="K2" s="61" t="s">
        <v>11</v>
      </c>
      <c r="L2" s="62" t="s">
        <v>12</v>
      </c>
      <c r="M2" s="47" t="s">
        <v>13</v>
      </c>
    </row>
    <row r="3" s="35" customFormat="1" ht="15" customHeight="1" spans="1:18">
      <c r="A3" s="45"/>
      <c r="B3" s="45"/>
      <c r="C3" s="45"/>
      <c r="D3" s="45"/>
      <c r="E3" s="48"/>
      <c r="F3" s="48"/>
      <c r="G3" s="47"/>
      <c r="H3" s="45"/>
      <c r="I3" s="48"/>
      <c r="J3" s="48"/>
      <c r="K3" s="63"/>
      <c r="L3" s="64"/>
      <c r="M3" s="47"/>
      <c r="O3" s="65"/>
      <c r="P3" s="65"/>
      <c r="Q3" s="65"/>
      <c r="R3" s="65"/>
    </row>
    <row r="4" s="36" customFormat="1" ht="24" customHeight="1" spans="1:24">
      <c r="A4" s="49" t="s">
        <v>14</v>
      </c>
      <c r="B4" s="49"/>
      <c r="C4" s="49"/>
      <c r="D4" s="49"/>
      <c r="E4" s="49"/>
      <c r="F4" s="49"/>
      <c r="G4" s="50"/>
      <c r="H4" s="51"/>
      <c r="I4" s="51"/>
      <c r="J4" s="51"/>
      <c r="K4" s="66"/>
      <c r="L4" s="67">
        <f>SUM(L5:L17)</f>
        <v>9654</v>
      </c>
      <c r="M4" s="68"/>
      <c r="N4" s="69"/>
      <c r="O4" s="65"/>
      <c r="P4" s="65"/>
      <c r="Q4" s="65"/>
      <c r="R4" s="65"/>
      <c r="S4" s="76"/>
      <c r="T4" s="76"/>
      <c r="U4" s="76"/>
      <c r="V4" s="76"/>
      <c r="W4" s="76"/>
      <c r="X4" s="76"/>
    </row>
    <row r="5" ht="30" customHeight="1" spans="1:25">
      <c r="A5" s="52">
        <v>1</v>
      </c>
      <c r="B5" s="53"/>
      <c r="C5" s="54" t="s">
        <v>15</v>
      </c>
      <c r="D5" s="55" t="s">
        <v>16</v>
      </c>
      <c r="E5" s="55" t="s">
        <v>17</v>
      </c>
      <c r="F5" s="55"/>
      <c r="G5" s="53">
        <v>10</v>
      </c>
      <c r="H5" s="53" t="s">
        <v>18</v>
      </c>
      <c r="I5" s="53" t="s">
        <v>19</v>
      </c>
      <c r="J5" s="53">
        <v>318</v>
      </c>
      <c r="K5" s="70">
        <v>318</v>
      </c>
      <c r="L5" s="71">
        <v>996</v>
      </c>
      <c r="M5" s="72"/>
      <c r="N5" s="73"/>
      <c r="O5" s="65"/>
      <c r="P5" s="65"/>
      <c r="Q5" s="65"/>
      <c r="R5" s="65"/>
      <c r="S5" s="35"/>
      <c r="T5" s="35"/>
      <c r="U5" s="35"/>
      <c r="V5" s="35"/>
      <c r="W5" s="35"/>
      <c r="Y5" s="35"/>
    </row>
    <row r="6" ht="30" customHeight="1" spans="1:25">
      <c r="A6" s="52">
        <v>2</v>
      </c>
      <c r="B6" s="54"/>
      <c r="C6" s="56" t="s">
        <v>20</v>
      </c>
      <c r="D6" s="55" t="s">
        <v>21</v>
      </c>
      <c r="E6" s="55" t="s">
        <v>17</v>
      </c>
      <c r="F6" s="55"/>
      <c r="G6" s="53">
        <v>7</v>
      </c>
      <c r="H6" s="53" t="s">
        <v>18</v>
      </c>
      <c r="I6" s="53" t="s">
        <v>19</v>
      </c>
      <c r="J6" s="53">
        <v>120</v>
      </c>
      <c r="K6" s="70">
        <v>120</v>
      </c>
      <c r="L6" s="71">
        <v>190</v>
      </c>
      <c r="M6" s="72"/>
      <c r="N6" s="73"/>
      <c r="O6" s="65"/>
      <c r="P6" s="65"/>
      <c r="Q6" s="65"/>
      <c r="R6" s="65"/>
      <c r="S6" s="35"/>
      <c r="T6" s="35"/>
      <c r="U6" s="35"/>
      <c r="V6" s="35"/>
      <c r="W6" s="35"/>
      <c r="Y6" s="35"/>
    </row>
    <row r="7" ht="30" customHeight="1" spans="1:25">
      <c r="A7" s="52">
        <v>3</v>
      </c>
      <c r="B7" s="53"/>
      <c r="C7" s="56" t="s">
        <v>22</v>
      </c>
      <c r="D7" s="55" t="s">
        <v>23</v>
      </c>
      <c r="E7" s="55" t="s">
        <v>17</v>
      </c>
      <c r="F7" s="55"/>
      <c r="G7" s="53">
        <v>7</v>
      </c>
      <c r="H7" s="53" t="s">
        <v>18</v>
      </c>
      <c r="I7" s="53" t="s">
        <v>19</v>
      </c>
      <c r="J7" s="53">
        <v>88</v>
      </c>
      <c r="K7" s="70">
        <v>88</v>
      </c>
      <c r="L7" s="71">
        <v>140</v>
      </c>
      <c r="M7" s="72"/>
      <c r="N7" s="73"/>
      <c r="O7" s="65"/>
      <c r="P7" s="65"/>
      <c r="Q7" s="65"/>
      <c r="R7" s="65"/>
      <c r="S7" s="35"/>
      <c r="T7" s="35"/>
      <c r="U7" s="35"/>
      <c r="V7" s="35"/>
      <c r="W7" s="35"/>
      <c r="Y7" s="78"/>
    </row>
    <row r="8" ht="30" customHeight="1" spans="1:25">
      <c r="A8" s="52">
        <v>4</v>
      </c>
      <c r="B8" s="53"/>
      <c r="C8" s="54" t="s">
        <v>24</v>
      </c>
      <c r="D8" s="55" t="s">
        <v>25</v>
      </c>
      <c r="E8" s="55" t="s">
        <v>26</v>
      </c>
      <c r="F8" s="57">
        <v>43956</v>
      </c>
      <c r="G8" s="53">
        <v>20</v>
      </c>
      <c r="H8" s="53"/>
      <c r="I8" s="53" t="s">
        <v>27</v>
      </c>
      <c r="J8" s="53">
        <v>105</v>
      </c>
      <c r="K8" s="70">
        <v>105</v>
      </c>
      <c r="L8" s="74">
        <v>1050</v>
      </c>
      <c r="M8" s="72"/>
      <c r="N8" s="73"/>
      <c r="O8" s="65"/>
      <c r="P8" s="65"/>
      <c r="Q8" s="65"/>
      <c r="R8" s="65"/>
      <c r="S8" s="35"/>
      <c r="T8" s="35"/>
      <c r="U8" s="35"/>
      <c r="V8" s="35"/>
      <c r="W8" s="35"/>
      <c r="Y8" s="79"/>
    </row>
    <row r="9" ht="30" customHeight="1" spans="1:25">
      <c r="A9" s="52">
        <v>5</v>
      </c>
      <c r="B9" s="53"/>
      <c r="C9" s="54" t="s">
        <v>28</v>
      </c>
      <c r="D9" s="55" t="s">
        <v>29</v>
      </c>
      <c r="E9" s="55" t="s">
        <v>30</v>
      </c>
      <c r="F9" s="57">
        <v>43766</v>
      </c>
      <c r="G9" s="53">
        <v>20</v>
      </c>
      <c r="H9" s="53"/>
      <c r="I9" s="53" t="s">
        <v>27</v>
      </c>
      <c r="J9" s="53">
        <v>32</v>
      </c>
      <c r="K9" s="70">
        <v>32</v>
      </c>
      <c r="L9" s="74">
        <v>320</v>
      </c>
      <c r="M9" s="72"/>
      <c r="N9" s="73"/>
      <c r="O9" s="65"/>
      <c r="P9" s="65"/>
      <c r="Q9" s="65"/>
      <c r="R9" s="65"/>
      <c r="S9" s="35"/>
      <c r="T9" s="35"/>
      <c r="U9" s="35"/>
      <c r="V9" s="35"/>
      <c r="W9" s="35"/>
      <c r="Y9" s="79"/>
    </row>
    <row r="10" ht="30" customHeight="1" spans="1:25">
      <c r="A10" s="52">
        <v>6</v>
      </c>
      <c r="B10" s="53"/>
      <c r="C10" s="54" t="s">
        <v>31</v>
      </c>
      <c r="D10" s="55" t="s">
        <v>32</v>
      </c>
      <c r="E10" s="55" t="s">
        <v>33</v>
      </c>
      <c r="F10" s="55"/>
      <c r="G10" s="53">
        <v>20</v>
      </c>
      <c r="H10" s="53"/>
      <c r="I10" s="53" t="s">
        <v>27</v>
      </c>
      <c r="J10" s="53">
        <v>16</v>
      </c>
      <c r="K10" s="70">
        <v>16</v>
      </c>
      <c r="L10" s="74">
        <v>160</v>
      </c>
      <c r="M10" s="72"/>
      <c r="N10" s="73"/>
      <c r="O10" s="65"/>
      <c r="P10" s="65"/>
      <c r="Q10" s="65"/>
      <c r="R10" s="65"/>
      <c r="S10" s="35"/>
      <c r="T10" s="35"/>
      <c r="U10" s="35"/>
      <c r="V10" s="35"/>
      <c r="W10" s="35"/>
      <c r="Y10" s="79"/>
    </row>
    <row r="11" ht="30" customHeight="1" spans="1:25">
      <c r="A11" s="52">
        <v>7</v>
      </c>
      <c r="B11" s="53"/>
      <c r="C11" s="54" t="s">
        <v>34</v>
      </c>
      <c r="D11" s="55" t="s">
        <v>35</v>
      </c>
      <c r="E11" s="55" t="s">
        <v>36</v>
      </c>
      <c r="F11" s="57">
        <v>43940</v>
      </c>
      <c r="G11" s="53"/>
      <c r="H11" s="53" t="s">
        <v>37</v>
      </c>
      <c r="I11" s="53" t="s">
        <v>19</v>
      </c>
      <c r="J11" s="53">
        <v>100</v>
      </c>
      <c r="K11" s="70">
        <v>100</v>
      </c>
      <c r="L11" s="71">
        <v>639</v>
      </c>
      <c r="M11" s="72"/>
      <c r="N11" s="73"/>
      <c r="O11" s="65"/>
      <c r="P11" s="65"/>
      <c r="Q11" s="65"/>
      <c r="R11" s="65"/>
      <c r="S11" s="35"/>
      <c r="T11" s="35"/>
      <c r="U11" s="35"/>
      <c r="V11" s="35"/>
      <c r="W11" s="35"/>
      <c r="Y11" s="79"/>
    </row>
    <row r="12" ht="30" customHeight="1" spans="1:25">
      <c r="A12" s="52">
        <v>8</v>
      </c>
      <c r="B12" s="53"/>
      <c r="C12" s="54" t="s">
        <v>38</v>
      </c>
      <c r="D12" s="55" t="s">
        <v>39</v>
      </c>
      <c r="E12" s="55" t="s">
        <v>40</v>
      </c>
      <c r="F12" s="57">
        <v>43940</v>
      </c>
      <c r="G12" s="53"/>
      <c r="H12" s="53" t="s">
        <v>37</v>
      </c>
      <c r="I12" s="53" t="s">
        <v>19</v>
      </c>
      <c r="J12" s="53">
        <v>48</v>
      </c>
      <c r="K12" s="70">
        <v>48</v>
      </c>
      <c r="L12" s="71">
        <v>14</v>
      </c>
      <c r="M12" s="72"/>
      <c r="N12" s="73"/>
      <c r="O12" s="75"/>
      <c r="P12" s="75"/>
      <c r="Q12" s="65"/>
      <c r="R12" s="77"/>
      <c r="S12" s="35"/>
      <c r="T12" s="35"/>
      <c r="U12" s="35"/>
      <c r="V12" s="35"/>
      <c r="W12" s="35"/>
      <c r="Y12" s="79"/>
    </row>
    <row r="13" ht="30" customHeight="1" spans="1:25">
      <c r="A13" s="52">
        <v>9</v>
      </c>
      <c r="B13" s="53"/>
      <c r="C13" s="54" t="s">
        <v>41</v>
      </c>
      <c r="D13" s="55" t="s">
        <v>42</v>
      </c>
      <c r="E13" s="58" t="s">
        <v>43</v>
      </c>
      <c r="F13" s="55"/>
      <c r="G13" s="53"/>
      <c r="H13" s="53"/>
      <c r="I13" s="53" t="s">
        <v>19</v>
      </c>
      <c r="J13" s="53">
        <v>24</v>
      </c>
      <c r="K13" s="70">
        <v>24</v>
      </c>
      <c r="L13" s="71">
        <v>0</v>
      </c>
      <c r="M13" s="72"/>
      <c r="N13" s="73"/>
      <c r="O13" s="65"/>
      <c r="P13" s="65"/>
      <c r="Q13" s="65"/>
      <c r="R13" s="65"/>
      <c r="S13" s="35"/>
      <c r="T13" s="35"/>
      <c r="U13" s="35"/>
      <c r="V13" s="35"/>
      <c r="W13" s="35"/>
      <c r="Y13" s="79"/>
    </row>
    <row r="14" ht="30" customHeight="1" spans="1:25">
      <c r="A14" s="52">
        <v>10</v>
      </c>
      <c r="B14" s="54"/>
      <c r="C14" s="54" t="s">
        <v>44</v>
      </c>
      <c r="D14" s="55" t="s">
        <v>45</v>
      </c>
      <c r="E14" s="55"/>
      <c r="F14" s="55"/>
      <c r="G14" s="53"/>
      <c r="H14" s="53" t="s">
        <v>46</v>
      </c>
      <c r="I14" s="53" t="s">
        <v>47</v>
      </c>
      <c r="J14" s="53">
        <v>1</v>
      </c>
      <c r="K14" s="70">
        <v>1</v>
      </c>
      <c r="L14" s="74">
        <v>5600</v>
      </c>
      <c r="M14" s="55"/>
      <c r="N14" s="73"/>
      <c r="O14" s="38"/>
      <c r="P14" s="38"/>
      <c r="Q14" s="65"/>
      <c r="R14" s="65"/>
      <c r="S14" s="35"/>
      <c r="T14" s="35"/>
      <c r="U14" s="35"/>
      <c r="V14" s="35"/>
      <c r="W14" s="35"/>
      <c r="Y14" s="79"/>
    </row>
    <row r="15" ht="30" customHeight="1" spans="1:25">
      <c r="A15" s="52">
        <v>11</v>
      </c>
      <c r="B15" s="53"/>
      <c r="C15" s="54" t="s">
        <v>48</v>
      </c>
      <c r="D15" s="55" t="s">
        <v>49</v>
      </c>
      <c r="E15" s="55" t="s">
        <v>50</v>
      </c>
      <c r="F15" s="55"/>
      <c r="G15" s="53"/>
      <c r="H15" s="53" t="s">
        <v>46</v>
      </c>
      <c r="I15" s="53" t="s">
        <v>47</v>
      </c>
      <c r="J15" s="53">
        <v>2</v>
      </c>
      <c r="K15" s="70">
        <v>2</v>
      </c>
      <c r="L15" s="74">
        <v>460</v>
      </c>
      <c r="M15" s="58"/>
      <c r="N15" s="73"/>
      <c r="O15" s="38"/>
      <c r="P15" s="38"/>
      <c r="Q15" s="65"/>
      <c r="R15" s="65"/>
      <c r="S15" s="35"/>
      <c r="T15" s="35"/>
      <c r="U15" s="35"/>
      <c r="V15" s="35"/>
      <c r="W15" s="35"/>
      <c r="Y15" s="79"/>
    </row>
    <row r="16" ht="30" customHeight="1" spans="1:25">
      <c r="A16" s="52">
        <v>12</v>
      </c>
      <c r="B16" s="53"/>
      <c r="C16" s="54" t="s">
        <v>51</v>
      </c>
      <c r="D16" s="55" t="s">
        <v>52</v>
      </c>
      <c r="E16" s="55" t="s">
        <v>53</v>
      </c>
      <c r="F16" s="55"/>
      <c r="G16" s="53"/>
      <c r="H16" s="53" t="s">
        <v>54</v>
      </c>
      <c r="I16" s="53" t="s">
        <v>19</v>
      </c>
      <c r="J16" s="53">
        <v>1</v>
      </c>
      <c r="K16" s="70">
        <v>1</v>
      </c>
      <c r="L16" s="74">
        <v>20</v>
      </c>
      <c r="M16" s="72"/>
      <c r="N16" s="73"/>
      <c r="O16" s="73"/>
      <c r="P16" s="73"/>
      <c r="Q16" s="73"/>
      <c r="R16" s="35"/>
      <c r="S16" s="35"/>
      <c r="T16" s="35"/>
      <c r="U16" s="35"/>
      <c r="V16" s="35"/>
      <c r="W16" s="35"/>
      <c r="Y16" s="79"/>
    </row>
    <row r="17" ht="30" customHeight="1" spans="1:25">
      <c r="A17" s="52">
        <v>13</v>
      </c>
      <c r="B17" s="54"/>
      <c r="C17" s="54" t="s">
        <v>55</v>
      </c>
      <c r="D17" s="55" t="s">
        <v>56</v>
      </c>
      <c r="E17" s="55" t="s">
        <v>57</v>
      </c>
      <c r="F17" s="59" t="s">
        <v>58</v>
      </c>
      <c r="G17" s="53"/>
      <c r="H17" s="53" t="s">
        <v>59</v>
      </c>
      <c r="I17" s="53" t="s">
        <v>47</v>
      </c>
      <c r="J17" s="53">
        <v>1</v>
      </c>
      <c r="K17" s="70">
        <v>1</v>
      </c>
      <c r="L17" s="74">
        <v>65</v>
      </c>
      <c r="M17" s="72"/>
      <c r="N17" s="73"/>
      <c r="O17" s="73"/>
      <c r="P17" s="73"/>
      <c r="Q17" s="73"/>
      <c r="R17" s="35"/>
      <c r="S17" s="35"/>
      <c r="T17" s="35"/>
      <c r="U17" s="35"/>
      <c r="V17" s="35"/>
      <c r="W17" s="35"/>
      <c r="Y17" s="79"/>
    </row>
  </sheetData>
  <mergeCells count="15">
    <mergeCell ref="A1:M1"/>
    <mergeCell ref="A4:C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 verticalCentered="1"/>
  <pageMargins left="1.22013888888889" right="0.747916666666667" top="0.984027777777778" bottom="0.984027777777778" header="0.511805555555556" footer="0.511805555555556"/>
  <pageSetup paperSize="9" scale="90" orientation="landscape"/>
  <headerFooter>
    <oddFooter>&amp;L评估机构：廊坊市华信达资产评估有限公司</oddFooter>
  </headerFooter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5"/>
  <sheetViews>
    <sheetView topLeftCell="A56" workbookViewId="0">
      <selection activeCell="F67" sqref="F67"/>
    </sheetView>
  </sheetViews>
  <sheetFormatPr defaultColWidth="9" defaultRowHeight="14.25"/>
  <cols>
    <col min="2" max="3" width="10"/>
    <col min="4" max="4" width="11.375" customWidth="1"/>
    <col min="5" max="5" width="18.875" customWidth="1"/>
    <col min="6" max="6" width="13" customWidth="1"/>
    <col min="7" max="7" width="10"/>
    <col min="8" max="8" width="9" hidden="1" customWidth="1"/>
    <col min="9" max="9" width="14.125" customWidth="1"/>
    <col min="10" max="12" width="13" customWidth="1"/>
  </cols>
  <sheetData>
    <row r="1" hidden="1" spans="2:6">
      <c r="B1" t="s">
        <v>60</v>
      </c>
      <c r="C1" t="s">
        <v>61</v>
      </c>
      <c r="F1" t="str">
        <f>E82</f>
        <v>长36，高2.5</v>
      </c>
    </row>
    <row r="2" hidden="1" spans="2:6">
      <c r="B2" t="s">
        <v>60</v>
      </c>
      <c r="C2" t="s">
        <v>62</v>
      </c>
      <c r="F2">
        <f>F83</f>
        <v>59.232</v>
      </c>
    </row>
    <row r="3" hidden="1" spans="6:7">
      <c r="F3">
        <f>SUM(F1:F2)</f>
        <v>59.232</v>
      </c>
      <c r="G3">
        <f>F3*520</f>
        <v>30800.64</v>
      </c>
    </row>
    <row r="4" hidden="1"/>
    <row r="5" hidden="1"/>
    <row r="6" hidden="1"/>
    <row r="7" hidden="1"/>
    <row r="8" hidden="1"/>
    <row r="9" hidden="1"/>
    <row r="10" hidden="1"/>
    <row r="11" hidden="1" spans="1:1">
      <c r="A11" s="12"/>
    </row>
    <row r="12" hidden="1"/>
    <row r="13" hidden="1"/>
    <row r="14" hidden="1"/>
    <row r="15" hidden="1"/>
    <row r="16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4" spans="2:14">
      <c r="B34" s="12"/>
      <c r="C34" s="13" t="s">
        <v>63</v>
      </c>
      <c r="D34" s="14"/>
      <c r="E34" s="14" t="s">
        <v>64</v>
      </c>
      <c r="F34" s="14" t="s">
        <v>65</v>
      </c>
      <c r="G34" s="14" t="s">
        <v>66</v>
      </c>
      <c r="H34" s="14"/>
      <c r="I34" s="12"/>
      <c r="J34" s="12"/>
      <c r="K34" s="23"/>
      <c r="L34" s="12"/>
      <c r="M34" s="12"/>
      <c r="N34" s="12"/>
    </row>
    <row r="35" spans="2:14">
      <c r="B35" s="12"/>
      <c r="C35" s="13"/>
      <c r="D35" s="14" t="s">
        <v>67</v>
      </c>
      <c r="E35" s="14">
        <f>20*7</f>
        <v>140</v>
      </c>
      <c r="F35" s="14">
        <v>4</v>
      </c>
      <c r="G35" s="14"/>
      <c r="H35" s="14">
        <f>E71*E35</f>
        <v>9030</v>
      </c>
      <c r="I35" s="20" t="s">
        <v>68</v>
      </c>
      <c r="J35" s="25" t="s">
        <v>69</v>
      </c>
      <c r="K35" s="26">
        <f>0.125*0.125*3.1415*4*7*5+0.8</f>
        <v>7.67203125</v>
      </c>
      <c r="L35" s="20" t="s">
        <v>70</v>
      </c>
      <c r="M35" s="12"/>
      <c r="N35" s="12"/>
    </row>
    <row r="36" spans="2:14">
      <c r="B36" s="12"/>
      <c r="C36" s="13"/>
      <c r="D36" s="14" t="s">
        <v>71</v>
      </c>
      <c r="E36" s="14">
        <f>4*5*2</f>
        <v>40</v>
      </c>
      <c r="F36" s="14">
        <v>3.6</v>
      </c>
      <c r="G36" s="14"/>
      <c r="H36" s="14">
        <f>ROUND(E36*E78,0)</f>
        <v>0</v>
      </c>
      <c r="I36" s="12"/>
      <c r="J36" s="27" t="s">
        <v>72</v>
      </c>
      <c r="K36" s="28"/>
      <c r="L36" s="20" t="s">
        <v>73</v>
      </c>
      <c r="M36" s="12"/>
      <c r="N36" s="12"/>
    </row>
    <row r="37" spans="2:14">
      <c r="B37" s="12"/>
      <c r="C37" s="13"/>
      <c r="D37" s="14" t="s">
        <v>74</v>
      </c>
      <c r="E37" s="14"/>
      <c r="F37" s="14"/>
      <c r="G37" s="14"/>
      <c r="H37" s="14">
        <f>SUM(H35:H36)</f>
        <v>9030</v>
      </c>
      <c r="I37" s="12"/>
      <c r="J37" s="12"/>
      <c r="K37" s="12"/>
      <c r="L37" s="12"/>
      <c r="M37" s="12"/>
      <c r="N37" s="12"/>
    </row>
    <row r="38" spans="2:14">
      <c r="B38" s="12"/>
      <c r="C38" s="13"/>
      <c r="D38" s="14" t="s">
        <v>75</v>
      </c>
      <c r="E38" s="14"/>
      <c r="F38" s="14"/>
      <c r="G38" s="14"/>
      <c r="H38" s="15">
        <v>0.25</v>
      </c>
      <c r="I38" s="12"/>
      <c r="J38" s="12"/>
      <c r="K38" s="12"/>
      <c r="L38" s="12"/>
      <c r="M38" s="12"/>
      <c r="N38" s="12"/>
    </row>
    <row r="39" spans="2:14">
      <c r="B39" s="12"/>
      <c r="C39" s="13"/>
      <c r="D39" s="14" t="s">
        <v>76</v>
      </c>
      <c r="E39" s="14"/>
      <c r="F39" s="14"/>
      <c r="G39" s="14"/>
      <c r="H39" s="14">
        <v>0.1</v>
      </c>
      <c r="I39" s="12"/>
      <c r="J39" s="12"/>
      <c r="K39" s="12"/>
      <c r="L39" s="12"/>
      <c r="M39" s="12"/>
      <c r="N39" s="12"/>
    </row>
    <row r="40" spans="2:14">
      <c r="B40" s="12"/>
      <c r="C40" s="13"/>
      <c r="D40" s="16" t="s">
        <v>74</v>
      </c>
      <c r="E40" s="16"/>
      <c r="F40" s="16"/>
      <c r="G40" s="16"/>
      <c r="H40" s="16">
        <f>H37*H38*H39</f>
        <v>225.75</v>
      </c>
      <c r="I40" s="12"/>
      <c r="J40" s="12"/>
      <c r="K40" s="12"/>
      <c r="L40" s="12"/>
      <c r="M40" s="12"/>
      <c r="N40" s="12"/>
    </row>
    <row r="41" spans="2:14">
      <c r="B41" s="12"/>
      <c r="C41" s="13"/>
      <c r="D41" s="14" t="s">
        <v>77</v>
      </c>
      <c r="E41" s="14"/>
      <c r="F41" s="14"/>
      <c r="G41" s="14"/>
      <c r="H41" s="17" t="s">
        <v>78</v>
      </c>
      <c r="I41" s="12"/>
      <c r="J41" s="12"/>
      <c r="K41" s="12"/>
      <c r="L41" s="12"/>
      <c r="M41" s="12"/>
      <c r="N41" s="12"/>
    </row>
    <row r="42" spans="2:14">
      <c r="B42" s="12"/>
      <c r="C42" s="13"/>
      <c r="D42" s="14" t="s">
        <v>79</v>
      </c>
      <c r="E42" s="14"/>
      <c r="F42" s="14"/>
      <c r="G42" s="14"/>
      <c r="H42" s="18">
        <f>K35</f>
        <v>7.67203125</v>
      </c>
      <c r="I42" s="12" t="s">
        <v>80</v>
      </c>
      <c r="J42" s="12"/>
      <c r="K42" s="12"/>
      <c r="L42" s="12"/>
      <c r="M42" s="12"/>
      <c r="N42" s="12"/>
    </row>
    <row r="43" spans="2:14">
      <c r="B43" s="12"/>
      <c r="C43" s="13"/>
      <c r="D43" s="14" t="s">
        <v>81</v>
      </c>
      <c r="E43" s="14"/>
      <c r="F43" s="14"/>
      <c r="G43" s="14"/>
      <c r="H43" s="14">
        <v>0.4</v>
      </c>
      <c r="I43" s="12"/>
      <c r="J43" s="12"/>
      <c r="K43" s="12">
        <f>(H40+H45)/180-4-1.6</f>
        <v>-1.78848958333333</v>
      </c>
      <c r="L43" s="12"/>
      <c r="M43" s="12"/>
      <c r="N43" s="12"/>
    </row>
    <row r="44" spans="2:14">
      <c r="B44" s="12"/>
      <c r="C44" s="13"/>
      <c r="D44" s="14" t="s">
        <v>82</v>
      </c>
      <c r="E44" s="14"/>
      <c r="F44" s="14"/>
      <c r="G44" s="14"/>
      <c r="H44" s="14">
        <f>H42*H43</f>
        <v>3.0688125</v>
      </c>
      <c r="I44" s="12" t="s">
        <v>83</v>
      </c>
      <c r="J44" s="12"/>
      <c r="K44" s="12"/>
      <c r="L44" s="12"/>
      <c r="M44" s="12"/>
      <c r="N44" s="12"/>
    </row>
    <row r="45" spans="2:14">
      <c r="B45" s="12"/>
      <c r="C45" s="13"/>
      <c r="D45" s="16" t="s">
        <v>74</v>
      </c>
      <c r="E45" s="16"/>
      <c r="F45" s="16"/>
      <c r="G45" s="16"/>
      <c r="H45" s="16">
        <f>150*H44</f>
        <v>460.321875</v>
      </c>
      <c r="I45" s="12"/>
      <c r="J45" s="12"/>
      <c r="K45" s="12"/>
      <c r="L45" s="12"/>
      <c r="M45" s="12"/>
      <c r="N45" s="12"/>
    </row>
    <row r="46" spans="2:14">
      <c r="B46" s="12"/>
      <c r="C46" s="13"/>
      <c r="D46" s="14" t="s">
        <v>84</v>
      </c>
      <c r="E46" s="14"/>
      <c r="F46" s="14"/>
      <c r="G46" s="14"/>
      <c r="H46" s="14">
        <f>1350*E35+1150*E36</f>
        <v>235000</v>
      </c>
      <c r="I46" s="12"/>
      <c r="J46" s="12"/>
      <c r="K46" s="12"/>
      <c r="L46" s="12"/>
      <c r="M46" s="12"/>
      <c r="N46" s="12"/>
    </row>
    <row r="47" spans="2:14">
      <c r="B47" s="12"/>
      <c r="C47" s="13"/>
      <c r="D47" s="14" t="s">
        <v>85</v>
      </c>
      <c r="E47" s="14"/>
      <c r="F47" s="14"/>
      <c r="G47" s="14"/>
      <c r="H47" s="19">
        <f>(H40+H45)/H46</f>
        <v>0.00291945478723404</v>
      </c>
      <c r="I47" s="12"/>
      <c r="J47" s="12"/>
      <c r="K47" s="12"/>
      <c r="L47" s="12"/>
      <c r="M47" s="12"/>
      <c r="N47" s="12"/>
    </row>
    <row r="48" spans="2:14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2:14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spans="2:14">
      <c r="B50" s="12"/>
      <c r="C50" s="12"/>
      <c r="D50" s="12"/>
      <c r="E50" s="20" t="s">
        <v>86</v>
      </c>
      <c r="F50" s="12"/>
      <c r="G50" s="12"/>
      <c r="H50" s="12"/>
      <c r="I50" s="12"/>
      <c r="J50" s="12"/>
      <c r="K50" s="12"/>
      <c r="L50" s="12"/>
      <c r="M50" s="12"/>
      <c r="N50" s="12"/>
    </row>
    <row r="51" spans="2:14">
      <c r="B51" s="12"/>
      <c r="C51" s="12"/>
      <c r="D51" s="21" t="s">
        <v>87</v>
      </c>
      <c r="E51" s="21" t="s">
        <v>88</v>
      </c>
      <c r="F51" s="22" t="s">
        <v>89</v>
      </c>
      <c r="G51" s="22"/>
      <c r="H51" s="21" t="s">
        <v>90</v>
      </c>
      <c r="I51" s="12"/>
      <c r="J51" s="12"/>
      <c r="K51" s="12"/>
      <c r="L51" s="12"/>
      <c r="M51" s="12"/>
      <c r="N51" s="12"/>
    </row>
    <row r="52" spans="2:14">
      <c r="B52" s="12"/>
      <c r="C52" s="12"/>
      <c r="D52" s="22">
        <v>1</v>
      </c>
      <c r="E52" s="22">
        <v>100</v>
      </c>
      <c r="F52" s="22">
        <v>400</v>
      </c>
      <c r="G52" s="22"/>
      <c r="H52" s="22">
        <f>F52/E52</f>
        <v>4</v>
      </c>
      <c r="I52" s="12"/>
      <c r="J52" s="12"/>
      <c r="K52" s="12"/>
      <c r="L52" s="12"/>
      <c r="M52" s="12"/>
      <c r="N52" s="12"/>
    </row>
    <row r="53" spans="2:14">
      <c r="B53" s="12"/>
      <c r="C53" s="12"/>
      <c r="D53" s="23"/>
      <c r="E53" s="24" t="s">
        <v>91</v>
      </c>
      <c r="F53" s="23"/>
      <c r="G53" s="23"/>
      <c r="H53" s="23"/>
      <c r="I53" s="12"/>
      <c r="J53" s="12"/>
      <c r="K53" s="12"/>
      <c r="L53" s="12"/>
      <c r="M53" s="12"/>
      <c r="N53" s="12"/>
    </row>
    <row r="54" spans="2:14">
      <c r="B54" s="12"/>
      <c r="C54" s="12"/>
      <c r="D54" s="21" t="s">
        <v>87</v>
      </c>
      <c r="E54" s="21" t="s">
        <v>88</v>
      </c>
      <c r="F54" s="22" t="s">
        <v>89</v>
      </c>
      <c r="G54" s="22"/>
      <c r="H54" s="21" t="s">
        <v>90</v>
      </c>
      <c r="I54" s="12"/>
      <c r="J54" s="12"/>
      <c r="K54" s="12"/>
      <c r="L54" s="12"/>
      <c r="M54" s="12"/>
      <c r="N54" s="12"/>
    </row>
    <row r="55" spans="2:14">
      <c r="B55" s="12"/>
      <c r="C55" s="12"/>
      <c r="D55" s="22">
        <v>1</v>
      </c>
      <c r="E55" s="22">
        <f>F55*H55</f>
        <v>2400</v>
      </c>
      <c r="F55" s="22">
        <v>1500</v>
      </c>
      <c r="G55" s="22"/>
      <c r="H55" s="22">
        <v>1.6</v>
      </c>
      <c r="I55" s="12"/>
      <c r="J55" s="12"/>
      <c r="K55" s="12"/>
      <c r="L55" s="12"/>
      <c r="M55" s="12"/>
      <c r="N55" s="12"/>
    </row>
    <row r="56" spans="2:14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spans="2:14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60" spans="3:16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3:16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spans="3:16">
      <c r="C62" s="12"/>
      <c r="D62" s="23" t="s">
        <v>92</v>
      </c>
      <c r="E62" s="23"/>
      <c r="F62" s="23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3:16">
      <c r="C63" s="12"/>
      <c r="D63" s="14"/>
      <c r="E63" s="14" t="s">
        <v>93</v>
      </c>
      <c r="F63" s="14" t="s">
        <v>94</v>
      </c>
      <c r="G63" s="14"/>
      <c r="H63" s="12"/>
      <c r="I63" s="12"/>
      <c r="J63" s="12"/>
      <c r="K63" s="12"/>
      <c r="L63" s="12"/>
      <c r="M63" s="12"/>
      <c r="N63" s="12"/>
      <c r="O63" s="12"/>
      <c r="P63" s="12"/>
    </row>
    <row r="64" spans="3:16">
      <c r="C64" s="12"/>
      <c r="D64" s="14" t="s">
        <v>95</v>
      </c>
      <c r="E64" s="14">
        <f>20*4+20*1.5+7*2*4-1.5+I64</f>
        <v>175</v>
      </c>
      <c r="F64" s="14">
        <f>E64*192</f>
        <v>33600</v>
      </c>
      <c r="G64" s="14"/>
      <c r="H64" s="12"/>
      <c r="I64" s="12">
        <f>7*1.5</f>
        <v>10.5</v>
      </c>
      <c r="J64" s="12" t="s">
        <v>96</v>
      </c>
      <c r="K64" s="12"/>
      <c r="L64" s="12"/>
      <c r="M64" s="12"/>
      <c r="N64" s="12"/>
      <c r="O64" s="12"/>
      <c r="P64" s="12"/>
    </row>
    <row r="65" spans="3:16">
      <c r="C65" s="12"/>
      <c r="D65" s="14" t="s">
        <v>97</v>
      </c>
      <c r="E65" s="14">
        <f>7*2*4+I64</f>
        <v>66.5</v>
      </c>
      <c r="F65" s="14">
        <f>E65*80</f>
        <v>5320</v>
      </c>
      <c r="G65" s="14"/>
      <c r="H65" s="12"/>
      <c r="I65" s="12"/>
      <c r="J65" s="12"/>
      <c r="K65" s="12"/>
      <c r="L65" s="12"/>
      <c r="M65" s="12"/>
      <c r="N65" s="12"/>
      <c r="O65" s="12"/>
      <c r="P65" s="12"/>
    </row>
    <row r="66" spans="3:16">
      <c r="C66" s="12"/>
      <c r="D66" s="14" t="s">
        <v>98</v>
      </c>
      <c r="E66" s="14"/>
      <c r="F66" s="14">
        <v>24500</v>
      </c>
      <c r="G66" s="14" t="s">
        <v>99</v>
      </c>
      <c r="H66" s="12"/>
      <c r="I66" s="12"/>
      <c r="J66" s="12"/>
      <c r="K66" s="12"/>
      <c r="L66" s="12"/>
      <c r="M66" s="12"/>
      <c r="N66" s="12"/>
      <c r="O66" s="12"/>
      <c r="P66" s="12"/>
    </row>
    <row r="67" spans="3:16">
      <c r="C67" s="12"/>
      <c r="D67" s="14" t="s">
        <v>74</v>
      </c>
      <c r="E67" s="14"/>
      <c r="F67" s="14">
        <f>SUM(F64:F66)</f>
        <v>63420</v>
      </c>
      <c r="G67" s="14"/>
      <c r="H67" s="12"/>
      <c r="I67" s="12"/>
      <c r="J67" s="12"/>
      <c r="K67" s="12"/>
      <c r="L67" s="12"/>
      <c r="M67" s="12"/>
      <c r="N67" s="12"/>
      <c r="O67" s="12"/>
      <c r="P67" s="12"/>
    </row>
    <row r="68" spans="3:16">
      <c r="C68" s="12"/>
      <c r="D68" s="29" t="s">
        <v>100</v>
      </c>
      <c r="E68" s="20">
        <f>20*7</f>
        <v>140</v>
      </c>
      <c r="F68" s="12">
        <f>F67/E68</f>
        <v>453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3:16">
      <c r="C69" s="12"/>
      <c r="D69" s="23" t="s">
        <v>101</v>
      </c>
      <c r="E69" s="23"/>
      <c r="F69" s="23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3:16">
      <c r="C70" s="12"/>
      <c r="D70" s="14"/>
      <c r="E70" s="14" t="s">
        <v>93</v>
      </c>
      <c r="F70" s="14" t="s">
        <v>94</v>
      </c>
      <c r="G70" s="14"/>
      <c r="H70" s="12"/>
      <c r="I70" s="12"/>
      <c r="J70" s="20" t="s">
        <v>102</v>
      </c>
      <c r="K70" s="12">
        <v>11.5</v>
      </c>
      <c r="L70" s="20" t="s">
        <v>103</v>
      </c>
      <c r="M70" s="12"/>
      <c r="N70" s="12"/>
      <c r="O70" s="12"/>
      <c r="P70" s="12"/>
    </row>
    <row r="71" spans="3:16">
      <c r="C71" s="12"/>
      <c r="D71" s="14" t="s">
        <v>95</v>
      </c>
      <c r="E71" s="30">
        <f>7*3.6+7*1.5+4*3.6*2</f>
        <v>64.5</v>
      </c>
      <c r="F71" s="14">
        <f>E71*125</f>
        <v>8062.5</v>
      </c>
      <c r="G71" s="14"/>
      <c r="H71" s="12"/>
      <c r="I71" s="12">
        <f>4*1/2*2</f>
        <v>4</v>
      </c>
      <c r="J71" s="20" t="s">
        <v>104</v>
      </c>
      <c r="K71" s="12">
        <v>4</v>
      </c>
      <c r="L71" s="12"/>
      <c r="M71" s="12"/>
      <c r="N71" s="12"/>
      <c r="O71" s="12"/>
      <c r="P71" s="12"/>
    </row>
    <row r="72" spans="3:16">
      <c r="C72" s="12"/>
      <c r="D72" s="14" t="s">
        <v>105</v>
      </c>
      <c r="E72" s="14">
        <f>4*3.6-1*2</f>
        <v>12.4</v>
      </c>
      <c r="F72" s="14">
        <f>E72*80</f>
        <v>992</v>
      </c>
      <c r="G72" s="14"/>
      <c r="H72" s="12"/>
      <c r="I72" s="12"/>
      <c r="J72" s="20" t="s">
        <v>106</v>
      </c>
      <c r="K72" s="12"/>
      <c r="L72" s="12"/>
      <c r="M72" s="12"/>
      <c r="N72" s="12"/>
      <c r="O72" s="12"/>
      <c r="P72" s="12"/>
    </row>
    <row r="73" spans="3:16">
      <c r="C73" s="12"/>
      <c r="D73" s="14" t="s">
        <v>98</v>
      </c>
      <c r="E73" s="14"/>
      <c r="F73" s="14">
        <v>1994</v>
      </c>
      <c r="G73" s="14"/>
      <c r="H73" s="12"/>
      <c r="I73" s="12"/>
      <c r="J73" s="20" t="s">
        <v>107</v>
      </c>
      <c r="K73" s="12">
        <v>11000</v>
      </c>
      <c r="L73" s="12"/>
      <c r="M73" s="12"/>
      <c r="N73" s="12"/>
      <c r="O73" s="12"/>
      <c r="P73" s="12"/>
    </row>
    <row r="74" spans="3:16">
      <c r="C74" s="12"/>
      <c r="D74" s="14" t="s">
        <v>74</v>
      </c>
      <c r="E74" s="14"/>
      <c r="F74" s="31">
        <f>SUM(F71:F73)</f>
        <v>11048.5</v>
      </c>
      <c r="G74" s="14"/>
      <c r="H74" s="12"/>
      <c r="I74" s="12"/>
      <c r="J74" s="20" t="s">
        <v>108</v>
      </c>
      <c r="K74" s="12"/>
      <c r="L74" s="12"/>
      <c r="M74" s="12"/>
      <c r="N74" s="12"/>
      <c r="O74" s="12"/>
      <c r="P74" s="12"/>
    </row>
    <row r="75" spans="3:16">
      <c r="C75" s="12"/>
      <c r="D75" s="29" t="s">
        <v>100</v>
      </c>
      <c r="E75" s="20">
        <f>7*4</f>
        <v>28</v>
      </c>
      <c r="F75" s="32">
        <f>ROUND(F74/E75,0)</f>
        <v>395</v>
      </c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3:16"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3:16"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3:16"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3:16"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4:7">
      <c r="D80" s="23" t="s">
        <v>109</v>
      </c>
      <c r="E80" s="23"/>
      <c r="F80" s="23"/>
      <c r="G80" s="12"/>
    </row>
    <row r="81" spans="4:7">
      <c r="D81" s="14"/>
      <c r="E81" s="14" t="s">
        <v>110</v>
      </c>
      <c r="F81" s="14" t="s">
        <v>111</v>
      </c>
      <c r="G81" s="14"/>
    </row>
    <row r="82" spans="4:7">
      <c r="D82" s="14" t="s">
        <v>60</v>
      </c>
      <c r="E82" s="14" t="s">
        <v>112</v>
      </c>
      <c r="F82" s="14">
        <f>36*0.24*2.5</f>
        <v>21.6</v>
      </c>
      <c r="G82" s="14"/>
    </row>
    <row r="83" spans="4:7">
      <c r="D83" s="14" t="s">
        <v>60</v>
      </c>
      <c r="E83" s="14" t="s">
        <v>113</v>
      </c>
      <c r="F83" s="14">
        <f>(11.7*2+50*2)*2*0.24</f>
        <v>59.232</v>
      </c>
      <c r="G83" s="14"/>
    </row>
    <row r="84" spans="4:7">
      <c r="D84" s="14" t="s">
        <v>74</v>
      </c>
      <c r="E84" s="14"/>
      <c r="F84" s="14">
        <f>SUM(F82:F83)</f>
        <v>80.832</v>
      </c>
      <c r="G84" s="14"/>
    </row>
    <row r="85" spans="4:7">
      <c r="D85" s="14" t="s">
        <v>107</v>
      </c>
      <c r="E85" s="33"/>
      <c r="F85" s="33">
        <f>F84*520</f>
        <v>42032.64</v>
      </c>
      <c r="G85" s="33"/>
    </row>
  </sheetData>
  <mergeCells count="4">
    <mergeCell ref="D62:F62"/>
    <mergeCell ref="D69:F69"/>
    <mergeCell ref="D80:F80"/>
    <mergeCell ref="C34:C47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29"/>
  <sheetViews>
    <sheetView workbookViewId="0">
      <selection activeCell="M13" sqref="M13"/>
    </sheetView>
  </sheetViews>
  <sheetFormatPr defaultColWidth="9" defaultRowHeight="14.25"/>
  <cols>
    <col min="1" max="1" width="9" style="1"/>
    <col min="2" max="2" width="13" style="1" customWidth="1"/>
    <col min="3" max="3" width="10.375" style="1"/>
    <col min="4" max="4" width="11" style="1" customWidth="1"/>
    <col min="5" max="5" width="12.75" style="1" customWidth="1"/>
    <col min="6" max="6" width="12.625" style="1" customWidth="1"/>
    <col min="7" max="7" width="12.125" style="1" customWidth="1"/>
    <col min="8" max="8" width="12.625" style="1" customWidth="1"/>
    <col min="9" max="9" width="9.875" style="2" customWidth="1"/>
    <col min="10" max="11" width="12.625" style="1" customWidth="1"/>
    <col min="12" max="12" width="11" style="1" customWidth="1"/>
    <col min="13" max="13" width="16.625" style="1" customWidth="1"/>
    <col min="14" max="14" width="9" style="1"/>
    <col min="15" max="15" width="9.375" style="1"/>
    <col min="16" max="16384" width="9" style="1"/>
  </cols>
  <sheetData>
    <row r="2" spans="2:23">
      <c r="B2" s="3" t="s">
        <v>3</v>
      </c>
      <c r="C2" s="3" t="s">
        <v>102</v>
      </c>
      <c r="D2" s="3" t="s">
        <v>104</v>
      </c>
      <c r="E2" s="3" t="s">
        <v>114</v>
      </c>
      <c r="F2" s="3" t="s">
        <v>115</v>
      </c>
      <c r="G2" s="2"/>
      <c r="H2" s="2"/>
      <c r="J2" s="2"/>
      <c r="K2" s="2"/>
      <c r="L2" s="2"/>
      <c r="M2" s="2"/>
      <c r="O2" s="3" t="s">
        <v>3</v>
      </c>
      <c r="P2" s="3" t="s">
        <v>102</v>
      </c>
      <c r="Q2" s="3" t="s">
        <v>104</v>
      </c>
      <c r="R2" s="3" t="s">
        <v>114</v>
      </c>
      <c r="S2" s="2"/>
      <c r="T2" s="2"/>
      <c r="U2" s="2"/>
      <c r="V2" s="2"/>
      <c r="W2" s="2"/>
    </row>
    <row r="3" spans="2:23">
      <c r="B3" s="3" t="s">
        <v>67</v>
      </c>
      <c r="C3" s="3" t="e">
        <f>'固定资产-构筑物及其他辅助设施'!#REF!</f>
        <v>#REF!</v>
      </c>
      <c r="D3" s="3" t="e">
        <f>'固定资产-构筑物及其他辅助设施'!#REF!</f>
        <v>#REF!</v>
      </c>
      <c r="E3" s="4">
        <v>3</v>
      </c>
      <c r="F3" s="3" t="s">
        <v>116</v>
      </c>
      <c r="G3" s="2"/>
      <c r="H3" s="2"/>
      <c r="J3" s="2"/>
      <c r="K3" s="2"/>
      <c r="L3" s="2"/>
      <c r="M3" s="2"/>
      <c r="O3" s="3" t="s">
        <v>117</v>
      </c>
      <c r="P3" s="3">
        <f>(50+11)*2</f>
        <v>122</v>
      </c>
      <c r="Q3" s="3">
        <v>0.24</v>
      </c>
      <c r="R3" s="3">
        <v>2</v>
      </c>
      <c r="S3" s="2"/>
      <c r="T3" s="2"/>
      <c r="U3" s="2"/>
      <c r="V3" s="2"/>
      <c r="W3" s="2"/>
    </row>
    <row r="4" spans="2:23">
      <c r="B4" s="3" t="s">
        <v>118</v>
      </c>
      <c r="C4" s="3">
        <v>7.5</v>
      </c>
      <c r="D4" s="3">
        <v>3</v>
      </c>
      <c r="E4" s="4">
        <v>1.65</v>
      </c>
      <c r="F4" s="3" t="s">
        <v>116</v>
      </c>
      <c r="G4" s="2"/>
      <c r="H4" s="2"/>
      <c r="J4" s="2"/>
      <c r="K4" s="2"/>
      <c r="L4" s="2"/>
      <c r="M4" s="2"/>
      <c r="O4" s="3" t="s">
        <v>119</v>
      </c>
      <c r="P4" s="3">
        <v>36</v>
      </c>
      <c r="Q4" s="3">
        <v>0.24</v>
      </c>
      <c r="R4" s="3">
        <v>2.5</v>
      </c>
      <c r="S4" s="2"/>
      <c r="T4" s="2"/>
      <c r="U4" s="2"/>
      <c r="V4" s="2"/>
      <c r="W4" s="2"/>
    </row>
    <row r="5" spans="2:23">
      <c r="B5" s="3" t="s">
        <v>120</v>
      </c>
      <c r="C5" s="3">
        <v>7.5</v>
      </c>
      <c r="D5" s="3">
        <v>3</v>
      </c>
      <c r="E5" s="4">
        <v>1.65</v>
      </c>
      <c r="F5" s="3" t="s">
        <v>116</v>
      </c>
      <c r="G5" s="2"/>
      <c r="H5" s="2"/>
      <c r="J5" s="2"/>
      <c r="K5" s="2"/>
      <c r="L5" s="2"/>
      <c r="M5" s="2"/>
      <c r="O5" s="2"/>
      <c r="P5" s="2"/>
      <c r="Q5" s="2"/>
      <c r="R5" s="2"/>
      <c r="S5" s="2"/>
      <c r="T5" s="2"/>
      <c r="U5" s="2"/>
      <c r="V5" s="2"/>
      <c r="W5" s="2"/>
    </row>
    <row r="6" ht="42.75" spans="7:18">
      <c r="G6" s="5" t="s">
        <v>121</v>
      </c>
      <c r="H6" s="5" t="s">
        <v>122</v>
      </c>
      <c r="I6" s="5" t="s">
        <v>123</v>
      </c>
      <c r="J6" s="8" t="s">
        <v>12</v>
      </c>
      <c r="K6" s="8"/>
      <c r="L6" s="8"/>
      <c r="M6" s="8"/>
      <c r="Q6" s="5" t="s">
        <v>121</v>
      </c>
      <c r="R6" s="11" t="s">
        <v>12</v>
      </c>
    </row>
    <row r="7" spans="1:18">
      <c r="A7" s="6" t="s">
        <v>67</v>
      </c>
      <c r="B7" s="6" t="s">
        <v>124</v>
      </c>
      <c r="C7" s="6" t="e">
        <f>ROUND(((C3+D3)*2*E3+D3*2*E3)*0.157*520,0)</f>
        <v>#REF!</v>
      </c>
      <c r="D7" s="6"/>
      <c r="E7" s="6" t="s">
        <v>125</v>
      </c>
      <c r="F7" s="6" t="e">
        <f>ROUND(C3*D3,0)</f>
        <v>#REF!</v>
      </c>
      <c r="G7" s="6">
        <v>0.15</v>
      </c>
      <c r="H7" s="6">
        <v>10</v>
      </c>
      <c r="I7" s="3"/>
      <c r="J7" s="10" t="e">
        <f>C7*(1-50%)*G7+F7*H7</f>
        <v>#REF!</v>
      </c>
      <c r="K7" s="11"/>
      <c r="L7" s="11"/>
      <c r="M7" s="11"/>
      <c r="N7" s="2" t="s">
        <v>117</v>
      </c>
      <c r="O7" s="1" t="s">
        <v>124</v>
      </c>
      <c r="P7" s="1">
        <f>ROUND(P3*Q3*R3*520,0)</f>
        <v>30451</v>
      </c>
      <c r="Q7" s="6">
        <v>0.15</v>
      </c>
      <c r="R7" s="11">
        <f>P7*Q7*(1-50%)</f>
        <v>2283.825</v>
      </c>
    </row>
    <row r="8" spans="1:18">
      <c r="A8" s="6"/>
      <c r="B8" s="6"/>
      <c r="C8" s="6"/>
      <c r="D8" s="6"/>
      <c r="E8" s="6"/>
      <c r="F8" s="6"/>
      <c r="G8" s="6"/>
      <c r="H8" s="6"/>
      <c r="I8" s="3"/>
      <c r="J8" s="10"/>
      <c r="K8" s="11"/>
      <c r="L8" s="11"/>
      <c r="M8" s="11"/>
      <c r="N8" s="2" t="s">
        <v>119</v>
      </c>
      <c r="O8" s="1" t="s">
        <v>124</v>
      </c>
      <c r="P8" s="1">
        <f>P4*Q4*R4*520</f>
        <v>11232</v>
      </c>
      <c r="Q8" s="6">
        <v>0.15</v>
      </c>
      <c r="R8" s="11">
        <f>P8*Q8*(1-50%)</f>
        <v>842.4</v>
      </c>
    </row>
    <row r="9" spans="1:13">
      <c r="A9" s="6" t="s">
        <v>118</v>
      </c>
      <c r="B9" s="6" t="s">
        <v>124</v>
      </c>
      <c r="C9" s="6">
        <f>ROUND((C4+D4)*E4*0.24*520,0)</f>
        <v>2162</v>
      </c>
      <c r="D9" s="6"/>
      <c r="E9" s="6" t="s">
        <v>126</v>
      </c>
      <c r="F9" s="6">
        <f>ROUND((C4+D4)*(2.8-1.65)+C4*D4,0)</f>
        <v>35</v>
      </c>
      <c r="G9" s="6">
        <v>0.15</v>
      </c>
      <c r="H9" s="6"/>
      <c r="I9" s="3">
        <v>4</v>
      </c>
      <c r="J9" s="10">
        <f>C9*(1-50%)*G9+F9*I9</f>
        <v>302.15</v>
      </c>
      <c r="K9" s="11"/>
      <c r="L9" s="11"/>
      <c r="M9" s="11"/>
    </row>
    <row r="10" spans="1:13">
      <c r="A10" s="6" t="s">
        <v>120</v>
      </c>
      <c r="B10" s="6" t="s">
        <v>124</v>
      </c>
      <c r="C10" s="6">
        <f>C9</f>
        <v>2162</v>
      </c>
      <c r="D10" s="6"/>
      <c r="E10" s="6" t="s">
        <v>126</v>
      </c>
      <c r="F10" s="6">
        <f>ROUND(((7.5+3)*1.15)+C4*D4,0)</f>
        <v>35</v>
      </c>
      <c r="G10" s="6">
        <v>0.15</v>
      </c>
      <c r="H10" s="6"/>
      <c r="I10" s="3">
        <v>4</v>
      </c>
      <c r="J10" s="10">
        <f>C10*(1-50%)*G10+F10*I10</f>
        <v>302.15</v>
      </c>
      <c r="K10" s="11"/>
      <c r="L10" s="11"/>
      <c r="M10" s="11"/>
    </row>
    <row r="13" spans="2:13">
      <c r="B13" s="3" t="s">
        <v>3</v>
      </c>
      <c r="C13" s="3" t="s">
        <v>102</v>
      </c>
      <c r="D13" s="3" t="s">
        <v>104</v>
      </c>
      <c r="E13" s="3" t="s">
        <v>114</v>
      </c>
      <c r="F13" s="3" t="s">
        <v>115</v>
      </c>
      <c r="G13" s="2"/>
      <c r="H13" s="2"/>
      <c r="J13" s="2"/>
      <c r="K13" s="2"/>
      <c r="L13" s="2"/>
      <c r="M13" s="2"/>
    </row>
    <row r="14" spans="2:13">
      <c r="B14" s="3" t="s">
        <v>127</v>
      </c>
      <c r="C14" s="3">
        <v>50</v>
      </c>
      <c r="D14" s="3">
        <v>11.7</v>
      </c>
      <c r="E14" s="4">
        <v>4</v>
      </c>
      <c r="F14" s="3" t="s">
        <v>128</v>
      </c>
      <c r="G14" s="2"/>
      <c r="H14" s="2"/>
      <c r="J14" s="2"/>
      <c r="K14" s="2"/>
      <c r="L14" s="2"/>
      <c r="M14" s="2"/>
    </row>
    <row r="15" spans="2:13">
      <c r="B15" s="3" t="s">
        <v>129</v>
      </c>
      <c r="C15" s="3">
        <v>50</v>
      </c>
      <c r="D15" s="3">
        <v>11.7</v>
      </c>
      <c r="E15" s="4">
        <v>4</v>
      </c>
      <c r="F15" s="3" t="s">
        <v>128</v>
      </c>
      <c r="G15" s="2"/>
      <c r="H15" s="2"/>
      <c r="J15" s="2"/>
      <c r="K15" s="2"/>
      <c r="L15" s="2"/>
      <c r="M15" s="2"/>
    </row>
    <row r="16" ht="28.5" spans="4:5">
      <c r="D16" s="7" t="s">
        <v>123</v>
      </c>
      <c r="E16" s="8" t="s">
        <v>12</v>
      </c>
    </row>
    <row r="17" spans="1:13">
      <c r="A17" s="1" t="s">
        <v>127</v>
      </c>
      <c r="B17" s="1" t="s">
        <v>126</v>
      </c>
      <c r="C17" s="1">
        <f>C14*D14+C14*(E14-2)+D14*E14</f>
        <v>731.8</v>
      </c>
      <c r="D17" s="1">
        <v>4</v>
      </c>
      <c r="E17" s="9">
        <f>C17*D17</f>
        <v>2927.2</v>
      </c>
      <c r="F17" s="2"/>
      <c r="G17" s="2"/>
      <c r="H17" s="2"/>
      <c r="J17" s="2"/>
      <c r="K17" s="2"/>
      <c r="L17" s="2"/>
      <c r="M17" s="2"/>
    </row>
    <row r="18" spans="1:13">
      <c r="A18" s="1" t="s">
        <v>129</v>
      </c>
      <c r="B18" s="1" t="s">
        <v>126</v>
      </c>
      <c r="C18" s="1">
        <f>C17</f>
        <v>731.8</v>
      </c>
      <c r="D18" s="1">
        <v>4</v>
      </c>
      <c r="E18" s="9">
        <f>C18*D18</f>
        <v>2927.2</v>
      </c>
      <c r="F18" s="2"/>
      <c r="G18" s="2"/>
      <c r="H18" s="2"/>
      <c r="J18" s="2"/>
      <c r="K18" s="2"/>
      <c r="L18" s="2"/>
      <c r="M18" s="2"/>
    </row>
    <row r="21" spans="3:7">
      <c r="C21" s="6" t="s">
        <v>130</v>
      </c>
      <c r="D21" s="6" t="s">
        <v>131</v>
      </c>
      <c r="E21" s="6" t="s">
        <v>132</v>
      </c>
      <c r="F21" s="6"/>
      <c r="G21" s="6"/>
    </row>
    <row r="22" spans="3:7">
      <c r="C22" s="6"/>
      <c r="D22" s="6">
        <v>8</v>
      </c>
      <c r="E22" s="6">
        <v>3</v>
      </c>
      <c r="F22" s="6">
        <v>220</v>
      </c>
      <c r="G22" s="6">
        <f>D22*E22*F22</f>
        <v>5280</v>
      </c>
    </row>
    <row r="23" spans="3:7">
      <c r="C23" s="6"/>
      <c r="D23" s="6" t="s">
        <v>133</v>
      </c>
      <c r="E23" s="6" t="s">
        <v>134</v>
      </c>
      <c r="F23" s="6"/>
      <c r="G23" s="6"/>
    </row>
    <row r="24" spans="3:7">
      <c r="C24" s="6" t="s">
        <v>135</v>
      </c>
      <c r="D24" s="6">
        <v>1</v>
      </c>
      <c r="E24" s="6">
        <v>1</v>
      </c>
      <c r="F24" s="6">
        <v>1500</v>
      </c>
      <c r="G24" s="6">
        <f>D24*E24*F24</f>
        <v>1500</v>
      </c>
    </row>
    <row r="25" spans="3:7">
      <c r="C25" s="6" t="s">
        <v>136</v>
      </c>
      <c r="D25" s="6">
        <v>1</v>
      </c>
      <c r="E25" s="6">
        <v>1</v>
      </c>
      <c r="F25" s="6">
        <v>1200</v>
      </c>
      <c r="G25" s="6">
        <f>D25*E25*F25</f>
        <v>1200</v>
      </c>
    </row>
    <row r="26" spans="3:7">
      <c r="C26" s="6"/>
      <c r="D26" s="6"/>
      <c r="E26" s="6"/>
      <c r="F26" s="6"/>
      <c r="G26" s="6"/>
    </row>
    <row r="27" spans="3:7">
      <c r="C27" s="6"/>
      <c r="D27" s="6"/>
      <c r="E27" s="6"/>
      <c r="F27" s="6"/>
      <c r="G27" s="6"/>
    </row>
    <row r="28" spans="3:7">
      <c r="C28" s="6"/>
      <c r="D28" s="6"/>
      <c r="E28" s="6"/>
      <c r="F28" s="6"/>
      <c r="G28" s="6"/>
    </row>
    <row r="29" spans="3:7">
      <c r="C29" s="6"/>
      <c r="D29" s="6"/>
      <c r="E29" s="6"/>
      <c r="F29" s="6"/>
      <c r="G29" s="6">
        <f>SUM(G22:G28)</f>
        <v>7980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固定资产-构筑物及其他辅助设施</vt:lpstr>
      <vt:lpstr>计算表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xinda hua</dc:creator>
  <cp:lastModifiedBy>Administrator</cp:lastModifiedBy>
  <dcterms:created xsi:type="dcterms:W3CDTF">2015-06-05T18:19:00Z</dcterms:created>
  <cp:lastPrinted>2023-02-03T03:06:00Z</cp:lastPrinted>
  <dcterms:modified xsi:type="dcterms:W3CDTF">2025-01-07T00:36:34Z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A585D91DD41D490B883F76BD6D03D21E_13</vt:lpwstr>
  </property>
</Properties>
</file>